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D_BEST_PRACTICES\STANDARDS\STANDARDS AVAILABLE FOR PURCHASE\F502.02 Rack Design\"/>
    </mc:Choice>
  </mc:AlternateContent>
  <xr:revisionPtr revIDLastSave="0" documentId="8_{AA4C632A-8F82-4D3E-B4E6-47BE1CDB2FCC}" xr6:coauthVersionLast="45" xr6:coauthVersionMax="45" xr10:uidLastSave="{00000000-0000-0000-0000-000000000000}"/>
  <bookViews>
    <workbookView xWindow="-108" yWindow="-108" windowWidth="23256" windowHeight="12576" activeTab="2" xr2:uid="{7B6893E8-1BD4-456E-B9C8-E5A374AB734A}"/>
  </bookViews>
  <sheets>
    <sheet name="Equipment List" sheetId="1" r:id="rId1"/>
    <sheet name="Design Information" sheetId="3" r:id="rId2"/>
    <sheet name="Lookups" sheetId="2" r:id="rId3"/>
  </sheets>
  <definedNames>
    <definedName name="_xlnm.Print_Area" localSheetId="1">'Design Information'!$A$1:$L$38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  <c r="D17" i="3" s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5" i="1"/>
  <c r="C17" i="3" l="1"/>
  <c r="C36" i="3"/>
  <c r="C35" i="3"/>
  <c r="C34" i="3"/>
  <c r="C33" i="3"/>
  <c r="C32" i="3"/>
  <c r="C31" i="3"/>
  <c r="C30" i="3"/>
  <c r="C29" i="3"/>
  <c r="C28" i="3"/>
  <c r="C27" i="3"/>
  <c r="C13" i="3" l="1"/>
  <c r="C10" i="3"/>
  <c r="C9" i="3"/>
  <c r="C3" i="3"/>
  <c r="C6" i="3" l="1"/>
  <c r="C15" i="3"/>
  <c r="O4" i="1"/>
  <c r="N4" i="1"/>
  <c r="F4" i="1"/>
  <c r="L4" i="1" s="1"/>
  <c r="C11" i="3" s="1"/>
  <c r="D16" i="3" l="1"/>
  <c r="C16" i="3"/>
  <c r="G4" i="1"/>
  <c r="J4" i="1"/>
  <c r="I4" i="1"/>
  <c r="C12" i="3" s="1"/>
  <c r="P4" i="1"/>
  <c r="C7" i="3" s="1"/>
  <c r="C8" i="3"/>
  <c r="D7" i="3"/>
  <c r="D8" i="3" s="1"/>
  <c r="D11" i="3"/>
  <c r="C21" i="3"/>
  <c r="H4" i="1"/>
  <c r="D19" i="3" l="1"/>
  <c r="D20" i="3" s="1"/>
  <c r="D23" i="3" s="1"/>
  <c r="D12" i="3"/>
  <c r="C22" i="3"/>
  <c r="C23" i="3" s="1"/>
  <c r="C24" i="3" s="1"/>
  <c r="C25" i="3" s="1"/>
</calcChain>
</file>

<file path=xl/sharedStrings.xml><?xml version="1.0" encoding="utf-8"?>
<sst xmlns="http://schemas.openxmlformats.org/spreadsheetml/2006/main" count="116" uniqueCount="102">
  <si>
    <t>Reference</t>
  </si>
  <si>
    <t>Inventory
Number</t>
  </si>
  <si>
    <t>Manufacturer</t>
  </si>
  <si>
    <t>Model</t>
  </si>
  <si>
    <t>Rack Mountable?</t>
  </si>
  <si>
    <t>Width (if not rack mountable)</t>
  </si>
  <si>
    <t>Heat output</t>
  </si>
  <si>
    <t>Min Op Temp</t>
  </si>
  <si>
    <t>Max Op Temp</t>
  </si>
  <si>
    <t>Min RH</t>
  </si>
  <si>
    <t>Max RH</t>
  </si>
  <si>
    <t>Yes</t>
  </si>
  <si>
    <t>No</t>
  </si>
  <si>
    <t>Maximum %RH</t>
  </si>
  <si>
    <t>Minimum %RH</t>
  </si>
  <si>
    <t>Total Equipment RUs</t>
  </si>
  <si>
    <t>Supply voltage</t>
  </si>
  <si>
    <t>Estimated current requirement</t>
  </si>
  <si>
    <t>Total heat load</t>
  </si>
  <si>
    <t>Total RUs required</t>
  </si>
  <si>
    <t>Summary Design Requirements</t>
  </si>
  <si>
    <t>AVIXA F502.2 AV Rack Design Equipment List</t>
  </si>
  <si>
    <t>Site height constraint</t>
  </si>
  <si>
    <t>Rack height addition</t>
  </si>
  <si>
    <t>Additional height for rack frame/plinth/castors in addition to usable rack height</t>
  </si>
  <si>
    <t>Maximum available height on site in rack location</t>
  </si>
  <si>
    <t>Actual no of racks required</t>
  </si>
  <si>
    <t>Rack Quantity Calculator</t>
  </si>
  <si>
    <t>Additional Vent/Blanks/expansion required</t>
  </si>
  <si>
    <t>Shelves for non rack mountable equipment</t>
  </si>
  <si>
    <t>Enter space allowance for shelf-mounted equipment</t>
  </si>
  <si>
    <t>Enter space allowance for vents, blanks and future expansion</t>
  </si>
  <si>
    <t>Enter supply voltage at rack location</t>
  </si>
  <si>
    <t>Metric</t>
  </si>
  <si>
    <t>Imperial</t>
  </si>
  <si>
    <t>mm</t>
  </si>
  <si>
    <t>Inch</t>
  </si>
  <si>
    <t>Unit</t>
  </si>
  <si>
    <t>Multiplier</t>
  </si>
  <si>
    <t>Dimension</t>
  </si>
  <si>
    <t>Heat unit</t>
  </si>
  <si>
    <t>Watts</t>
  </si>
  <si>
    <t>BTU/Hr</t>
  </si>
  <si>
    <t>(Yes/No)</t>
  </si>
  <si>
    <t>Electrical
Power</t>
  </si>
  <si>
    <t>Temp Unit</t>
  </si>
  <si>
    <t>Deg F</t>
  </si>
  <si>
    <t>Deg C</t>
  </si>
  <si>
    <t>%</t>
  </si>
  <si>
    <t>Select Metric or Imperial</t>
  </si>
  <si>
    <t>RU</t>
  </si>
  <si>
    <t>Volts</t>
  </si>
  <si>
    <t>Amps</t>
  </si>
  <si>
    <t>Depth</t>
  </si>
  <si>
    <t>Height</t>
  </si>
  <si>
    <t>Summary Design Information</t>
  </si>
  <si>
    <t>Rack height for above</t>
  </si>
  <si>
    <t>Total height of rack incl addition</t>
  </si>
  <si>
    <t>Actual Min Rack Height required</t>
  </si>
  <si>
    <t>Airflow</t>
  </si>
  <si>
    <t>Passive/Active</t>
  </si>
  <si>
    <t>Air intake</t>
  </si>
  <si>
    <t>Air exhaust</t>
  </si>
  <si>
    <t>Passive</t>
  </si>
  <si>
    <t>Active</t>
  </si>
  <si>
    <t>Front</t>
  </si>
  <si>
    <t>Rear</t>
  </si>
  <si>
    <t>LH Side</t>
  </si>
  <si>
    <t>RH Side</t>
  </si>
  <si>
    <t>Front/Rear/
LH/RH Side</t>
  </si>
  <si>
    <t>Airflow information</t>
  </si>
  <si>
    <t>Passive equipment count</t>
  </si>
  <si>
    <t>Active equipment count</t>
  </si>
  <si>
    <t>Air Intake - Front</t>
  </si>
  <si>
    <t>Air Intake - Rear</t>
  </si>
  <si>
    <t>Air intake - LH Side</t>
  </si>
  <si>
    <t>Air intake - RH Side</t>
  </si>
  <si>
    <t>Air exhaust - Front</t>
  </si>
  <si>
    <t>Air Exhaust - LH Side</t>
  </si>
  <si>
    <t>Air Exhaust - RH Side</t>
  </si>
  <si>
    <t>Air Exhaust - Rear</t>
  </si>
  <si>
    <t>Thermal</t>
  </si>
  <si>
    <t>Heat/Power</t>
  </si>
  <si>
    <t>Physical/space</t>
  </si>
  <si>
    <t>Units:</t>
  </si>
  <si>
    <t>most common airflow direction will be highligted green</t>
  </si>
  <si>
    <t>Minimum possible No. of racks</t>
  </si>
  <si>
    <t>Front Clearance</t>
  </si>
  <si>
    <t>Rear Clearance</t>
  </si>
  <si>
    <t>Depth behind panel</t>
  </si>
  <si>
    <t>Required front clearance</t>
  </si>
  <si>
    <t>Maximum rack equipment depth (inc clearance)</t>
  </si>
  <si>
    <t>Weight</t>
  </si>
  <si>
    <t>Weight Unit</t>
  </si>
  <si>
    <t>lb</t>
  </si>
  <si>
    <t>kg</t>
  </si>
  <si>
    <t>Total Equipment weight</t>
  </si>
  <si>
    <t>(assumes power factor of 1.0)</t>
  </si>
  <si>
    <t>Total electrical power load</t>
  </si>
  <si>
    <t>Maximum operating temerature</t>
  </si>
  <si>
    <t>Minimum operating temperature</t>
  </si>
  <si>
    <t>Allow for addition for rack weight and cabling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</si>
</sst>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" fillId="5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6" borderId="1" xfId="0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5" fillId="0" borderId="1" xfId="0" applyFont="1" applyBorder="1"/>
    <xf numFmtId="0" fontId="0" fillId="7" borderId="1" xfId="0" applyFill="1" applyBorder="1"/>
    <xf numFmtId="0" fontId="0" fillId="8" borderId="1" xfId="0" applyFill="1" applyBorder="1"/>
    <xf numFmtId="0" fontId="3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7" borderId="5" xfId="0" applyFill="1" applyBorder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82DD-02C9-4C38-89B8-D06F253C0CA7}">
  <dimension ref="A1:U104"/>
  <sheetViews>
    <sheetView zoomScale="60" zoomScaleNormal="60" workbookViewId="0">
      <pane ySplit="3" topLeftCell="A51" activePane="bottomLeft" state="frozen"/>
      <selection pane="bottomLeft" activeCell="S3" sqref="S3"/>
    </sheetView>
  </sheetViews>
  <sheetFormatPr defaultRowHeight="14.4" x14ac:dyDescent="0.3"/>
  <cols>
    <col min="1" max="1" width="8.77734375" style="3"/>
    <col min="2" max="2" width="12.21875" style="3" customWidth="1"/>
    <col min="3" max="3" width="31.77734375" style="3" customWidth="1"/>
    <col min="4" max="4" width="38.21875" style="3" customWidth="1"/>
    <col min="5" max="5" width="12.5546875" style="26" customWidth="1"/>
    <col min="6" max="6" width="16.33203125" style="9" customWidth="1"/>
    <col min="7" max="7" width="10.77734375" style="9" customWidth="1"/>
    <col min="8" max="11" width="8.77734375" style="11"/>
    <col min="12" max="12" width="8.77734375" style="11" hidden="1" customWidth="1"/>
    <col min="13" max="13" width="11" style="13" customWidth="1"/>
    <col min="14" max="14" width="10.44140625" style="15" customWidth="1"/>
    <col min="15" max="17" width="8.77734375" style="17"/>
    <col min="18" max="18" width="8.77734375" style="19"/>
    <col min="19" max="19" width="7.77734375" style="22" bestFit="1" customWidth="1"/>
    <col min="20" max="20" width="10.77734375" style="22" bestFit="1" customWidth="1"/>
    <col min="21" max="21" width="11.21875" style="22" customWidth="1"/>
  </cols>
  <sheetData>
    <row r="1" spans="1:21" ht="23.55" customHeight="1" x14ac:dyDescent="0.4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3">
      <c r="A2" s="32" t="s">
        <v>84</v>
      </c>
      <c r="B2" s="33"/>
      <c r="C2" s="4" t="s">
        <v>33</v>
      </c>
      <c r="D2" s="27" t="s">
        <v>49</v>
      </c>
      <c r="E2" s="40" t="s">
        <v>83</v>
      </c>
      <c r="F2" s="41"/>
      <c r="G2" s="41"/>
      <c r="H2" s="41"/>
      <c r="I2" s="41"/>
      <c r="J2" s="42"/>
      <c r="K2" s="30"/>
      <c r="L2" s="30"/>
      <c r="M2" s="39" t="s">
        <v>82</v>
      </c>
      <c r="N2" s="39"/>
      <c r="O2" s="37" t="s">
        <v>81</v>
      </c>
      <c r="P2" s="37"/>
      <c r="Q2" s="37"/>
      <c r="R2" s="37"/>
      <c r="S2" s="38" t="s">
        <v>59</v>
      </c>
      <c r="T2" s="38"/>
      <c r="U2" s="38"/>
    </row>
    <row r="3" spans="1:21" s="1" customFormat="1" ht="43.2" x14ac:dyDescent="0.3">
      <c r="A3" s="21" t="s">
        <v>0</v>
      </c>
      <c r="B3" s="20" t="s">
        <v>1</v>
      </c>
      <c r="C3" s="21" t="s">
        <v>2</v>
      </c>
      <c r="D3" s="21" t="s">
        <v>3</v>
      </c>
      <c r="E3" s="25" t="s">
        <v>4</v>
      </c>
      <c r="F3" s="8" t="s">
        <v>5</v>
      </c>
      <c r="G3" s="8" t="s">
        <v>54</v>
      </c>
      <c r="H3" s="10" t="s">
        <v>53</v>
      </c>
      <c r="I3" s="10" t="s">
        <v>87</v>
      </c>
      <c r="J3" s="10" t="s">
        <v>88</v>
      </c>
      <c r="K3" s="10" t="s">
        <v>92</v>
      </c>
      <c r="L3" s="10" t="s">
        <v>89</v>
      </c>
      <c r="M3" s="12" t="s">
        <v>44</v>
      </c>
      <c r="N3" s="14" t="s">
        <v>6</v>
      </c>
      <c r="O3" s="16" t="s">
        <v>7</v>
      </c>
      <c r="P3" s="16" t="s">
        <v>8</v>
      </c>
      <c r="Q3" s="16" t="s">
        <v>9</v>
      </c>
      <c r="R3" s="18" t="s">
        <v>10</v>
      </c>
      <c r="S3" s="23" t="s">
        <v>59</v>
      </c>
      <c r="T3" s="24" t="s">
        <v>61</v>
      </c>
      <c r="U3" s="23" t="s">
        <v>62</v>
      </c>
    </row>
    <row r="4" spans="1:21" s="1" customFormat="1" ht="43.2" x14ac:dyDescent="0.3">
      <c r="A4" s="34"/>
      <c r="B4" s="35"/>
      <c r="C4" s="35"/>
      <c r="D4" s="36"/>
      <c r="E4" s="25" t="s">
        <v>43</v>
      </c>
      <c r="F4" s="8" t="str">
        <f>VLOOKUP(C2,Lookups!A5:B6,2,FALSE)</f>
        <v>mm</v>
      </c>
      <c r="G4" s="8" t="str">
        <f>CONCATENATE("RU/",F4)</f>
        <v>RU/mm</v>
      </c>
      <c r="H4" s="10" t="str">
        <f>F4</f>
        <v>mm</v>
      </c>
      <c r="I4" s="10" t="str">
        <f>F4</f>
        <v>mm</v>
      </c>
      <c r="J4" s="10" t="str">
        <f>F4</f>
        <v>mm</v>
      </c>
      <c r="K4" s="10" t="str">
        <f>VLOOKUP(C2,Lookups!A4:F6,6,FALSE)</f>
        <v>kg</v>
      </c>
      <c r="L4" s="10" t="str">
        <f>F4</f>
        <v>mm</v>
      </c>
      <c r="M4" s="12" t="s">
        <v>41</v>
      </c>
      <c r="N4" s="14" t="str">
        <f>VLOOKUP(C2,Lookups!A5:D6,4,FALSE)</f>
        <v>Watts</v>
      </c>
      <c r="O4" s="16" t="str">
        <f>VLOOKUP(C2,Lookups!A5:E6,5,FALSE)</f>
        <v>Deg C</v>
      </c>
      <c r="P4" s="16" t="str">
        <f>O4</f>
        <v>Deg C</v>
      </c>
      <c r="Q4" s="16" t="s">
        <v>48</v>
      </c>
      <c r="R4" s="18" t="s">
        <v>48</v>
      </c>
      <c r="S4" s="23" t="s">
        <v>60</v>
      </c>
      <c r="T4" s="23" t="s">
        <v>69</v>
      </c>
      <c r="U4" s="23" t="s">
        <v>69</v>
      </c>
    </row>
    <row r="5" spans="1:21" x14ac:dyDescent="0.3">
      <c r="A5" s="3">
        <v>1</v>
      </c>
      <c r="L5" s="11">
        <f>J5+H5</f>
        <v>0</v>
      </c>
    </row>
    <row r="6" spans="1:21" x14ac:dyDescent="0.3">
      <c r="A6" s="3">
        <v>2</v>
      </c>
      <c r="L6" s="11">
        <f t="shared" ref="L6:L69" si="0">J6+H6</f>
        <v>0</v>
      </c>
    </row>
    <row r="7" spans="1:21" x14ac:dyDescent="0.3">
      <c r="A7" s="3">
        <v>3</v>
      </c>
      <c r="L7" s="11">
        <f t="shared" si="0"/>
        <v>0</v>
      </c>
    </row>
    <row r="8" spans="1:21" x14ac:dyDescent="0.3">
      <c r="A8" s="3">
        <v>4</v>
      </c>
      <c r="L8" s="11">
        <f t="shared" si="0"/>
        <v>0</v>
      </c>
    </row>
    <row r="9" spans="1:21" x14ac:dyDescent="0.3">
      <c r="A9" s="3">
        <v>5</v>
      </c>
      <c r="L9" s="11">
        <f t="shared" si="0"/>
        <v>0</v>
      </c>
    </row>
    <row r="10" spans="1:21" x14ac:dyDescent="0.3">
      <c r="A10" s="3">
        <v>6</v>
      </c>
      <c r="L10" s="11">
        <f t="shared" si="0"/>
        <v>0</v>
      </c>
    </row>
    <row r="11" spans="1:21" x14ac:dyDescent="0.3">
      <c r="A11" s="3">
        <v>7</v>
      </c>
      <c r="L11" s="11">
        <f t="shared" si="0"/>
        <v>0</v>
      </c>
    </row>
    <row r="12" spans="1:21" x14ac:dyDescent="0.3">
      <c r="A12" s="3">
        <v>8</v>
      </c>
      <c r="L12" s="11">
        <f t="shared" si="0"/>
        <v>0</v>
      </c>
    </row>
    <row r="13" spans="1:21" x14ac:dyDescent="0.3">
      <c r="A13" s="3">
        <v>9</v>
      </c>
      <c r="L13" s="11">
        <f t="shared" si="0"/>
        <v>0</v>
      </c>
    </row>
    <row r="14" spans="1:21" x14ac:dyDescent="0.3">
      <c r="A14" s="3">
        <v>10</v>
      </c>
      <c r="L14" s="11">
        <f t="shared" si="0"/>
        <v>0</v>
      </c>
    </row>
    <row r="15" spans="1:21" x14ac:dyDescent="0.3">
      <c r="A15" s="3">
        <v>11</v>
      </c>
      <c r="L15" s="11">
        <f t="shared" si="0"/>
        <v>0</v>
      </c>
    </row>
    <row r="16" spans="1:21" x14ac:dyDescent="0.3">
      <c r="A16" s="3">
        <v>12</v>
      </c>
      <c r="L16" s="11">
        <f t="shared" si="0"/>
        <v>0</v>
      </c>
    </row>
    <row r="17" spans="1:12" x14ac:dyDescent="0.3">
      <c r="A17" s="3">
        <v>13</v>
      </c>
      <c r="L17" s="11">
        <f t="shared" si="0"/>
        <v>0</v>
      </c>
    </row>
    <row r="18" spans="1:12" x14ac:dyDescent="0.3">
      <c r="A18" s="3">
        <v>14</v>
      </c>
      <c r="L18" s="11">
        <f t="shared" si="0"/>
        <v>0</v>
      </c>
    </row>
    <row r="19" spans="1:12" x14ac:dyDescent="0.3">
      <c r="A19" s="3">
        <v>15</v>
      </c>
      <c r="L19" s="11">
        <f t="shared" si="0"/>
        <v>0</v>
      </c>
    </row>
    <row r="20" spans="1:12" x14ac:dyDescent="0.3">
      <c r="A20" s="3">
        <v>16</v>
      </c>
      <c r="L20" s="11">
        <f t="shared" si="0"/>
        <v>0</v>
      </c>
    </row>
    <row r="21" spans="1:12" x14ac:dyDescent="0.3">
      <c r="A21" s="3">
        <v>17</v>
      </c>
      <c r="L21" s="11">
        <f t="shared" si="0"/>
        <v>0</v>
      </c>
    </row>
    <row r="22" spans="1:12" x14ac:dyDescent="0.3">
      <c r="A22" s="3">
        <v>18</v>
      </c>
      <c r="L22" s="11">
        <f t="shared" si="0"/>
        <v>0</v>
      </c>
    </row>
    <row r="23" spans="1:12" x14ac:dyDescent="0.3">
      <c r="A23" s="3">
        <v>19</v>
      </c>
      <c r="L23" s="11">
        <f t="shared" si="0"/>
        <v>0</v>
      </c>
    </row>
    <row r="24" spans="1:12" x14ac:dyDescent="0.3">
      <c r="A24" s="3">
        <v>20</v>
      </c>
      <c r="L24" s="11">
        <f t="shared" si="0"/>
        <v>0</v>
      </c>
    </row>
    <row r="25" spans="1:12" x14ac:dyDescent="0.3">
      <c r="A25" s="3">
        <v>21</v>
      </c>
      <c r="L25" s="11">
        <f t="shared" si="0"/>
        <v>0</v>
      </c>
    </row>
    <row r="26" spans="1:12" x14ac:dyDescent="0.3">
      <c r="A26" s="3">
        <v>22</v>
      </c>
      <c r="L26" s="11">
        <f t="shared" si="0"/>
        <v>0</v>
      </c>
    </row>
    <row r="27" spans="1:12" x14ac:dyDescent="0.3">
      <c r="A27" s="3">
        <v>23</v>
      </c>
      <c r="L27" s="11">
        <f t="shared" si="0"/>
        <v>0</v>
      </c>
    </row>
    <row r="28" spans="1:12" x14ac:dyDescent="0.3">
      <c r="A28" s="3">
        <v>24</v>
      </c>
      <c r="L28" s="11">
        <f t="shared" si="0"/>
        <v>0</v>
      </c>
    </row>
    <row r="29" spans="1:12" x14ac:dyDescent="0.3">
      <c r="A29" s="3">
        <v>25</v>
      </c>
      <c r="L29" s="11">
        <f t="shared" si="0"/>
        <v>0</v>
      </c>
    </row>
    <row r="30" spans="1:12" x14ac:dyDescent="0.3">
      <c r="A30" s="3">
        <v>26</v>
      </c>
      <c r="L30" s="11">
        <f t="shared" si="0"/>
        <v>0</v>
      </c>
    </row>
    <row r="31" spans="1:12" x14ac:dyDescent="0.3">
      <c r="A31" s="3">
        <v>27</v>
      </c>
      <c r="L31" s="11">
        <f t="shared" si="0"/>
        <v>0</v>
      </c>
    </row>
    <row r="32" spans="1:12" x14ac:dyDescent="0.3">
      <c r="A32" s="3">
        <v>28</v>
      </c>
      <c r="L32" s="11">
        <f t="shared" si="0"/>
        <v>0</v>
      </c>
    </row>
    <row r="33" spans="1:12" x14ac:dyDescent="0.3">
      <c r="A33" s="3">
        <v>29</v>
      </c>
      <c r="L33" s="11">
        <f t="shared" si="0"/>
        <v>0</v>
      </c>
    </row>
    <row r="34" spans="1:12" x14ac:dyDescent="0.3">
      <c r="A34" s="3">
        <v>30</v>
      </c>
      <c r="L34" s="11">
        <f t="shared" si="0"/>
        <v>0</v>
      </c>
    </row>
    <row r="35" spans="1:12" x14ac:dyDescent="0.3">
      <c r="A35" s="3">
        <v>31</v>
      </c>
      <c r="L35" s="11">
        <f t="shared" si="0"/>
        <v>0</v>
      </c>
    </row>
    <row r="36" spans="1:12" x14ac:dyDescent="0.3">
      <c r="A36" s="3">
        <v>32</v>
      </c>
      <c r="L36" s="11">
        <f t="shared" si="0"/>
        <v>0</v>
      </c>
    </row>
    <row r="37" spans="1:12" x14ac:dyDescent="0.3">
      <c r="A37" s="3">
        <v>33</v>
      </c>
      <c r="L37" s="11">
        <f t="shared" si="0"/>
        <v>0</v>
      </c>
    </row>
    <row r="38" spans="1:12" x14ac:dyDescent="0.3">
      <c r="A38" s="3">
        <v>34</v>
      </c>
      <c r="L38" s="11">
        <f t="shared" si="0"/>
        <v>0</v>
      </c>
    </row>
    <row r="39" spans="1:12" x14ac:dyDescent="0.3">
      <c r="A39" s="3">
        <v>35</v>
      </c>
      <c r="L39" s="11">
        <f t="shared" si="0"/>
        <v>0</v>
      </c>
    </row>
    <row r="40" spans="1:12" x14ac:dyDescent="0.3">
      <c r="A40" s="3">
        <v>36</v>
      </c>
      <c r="L40" s="11">
        <f t="shared" si="0"/>
        <v>0</v>
      </c>
    </row>
    <row r="41" spans="1:12" x14ac:dyDescent="0.3">
      <c r="A41" s="3">
        <v>37</v>
      </c>
      <c r="L41" s="11">
        <f t="shared" si="0"/>
        <v>0</v>
      </c>
    </row>
    <row r="42" spans="1:12" x14ac:dyDescent="0.3">
      <c r="A42" s="3">
        <v>38</v>
      </c>
      <c r="L42" s="11">
        <f t="shared" si="0"/>
        <v>0</v>
      </c>
    </row>
    <row r="43" spans="1:12" x14ac:dyDescent="0.3">
      <c r="A43" s="3">
        <v>39</v>
      </c>
      <c r="L43" s="11">
        <f t="shared" si="0"/>
        <v>0</v>
      </c>
    </row>
    <row r="44" spans="1:12" x14ac:dyDescent="0.3">
      <c r="A44" s="3">
        <v>40</v>
      </c>
      <c r="L44" s="11">
        <f t="shared" si="0"/>
        <v>0</v>
      </c>
    </row>
    <row r="45" spans="1:12" x14ac:dyDescent="0.3">
      <c r="A45" s="3">
        <v>41</v>
      </c>
      <c r="L45" s="11">
        <f t="shared" si="0"/>
        <v>0</v>
      </c>
    </row>
    <row r="46" spans="1:12" x14ac:dyDescent="0.3">
      <c r="A46" s="3">
        <v>42</v>
      </c>
      <c r="L46" s="11">
        <f t="shared" si="0"/>
        <v>0</v>
      </c>
    </row>
    <row r="47" spans="1:12" x14ac:dyDescent="0.3">
      <c r="A47" s="3">
        <v>43</v>
      </c>
      <c r="L47" s="11">
        <f t="shared" si="0"/>
        <v>0</v>
      </c>
    </row>
    <row r="48" spans="1:12" x14ac:dyDescent="0.3">
      <c r="A48" s="3">
        <v>44</v>
      </c>
      <c r="L48" s="11">
        <f t="shared" si="0"/>
        <v>0</v>
      </c>
    </row>
    <row r="49" spans="1:12" x14ac:dyDescent="0.3">
      <c r="A49" s="3">
        <v>45</v>
      </c>
      <c r="L49" s="11">
        <f t="shared" si="0"/>
        <v>0</v>
      </c>
    </row>
    <row r="50" spans="1:12" x14ac:dyDescent="0.3">
      <c r="A50" s="3">
        <v>46</v>
      </c>
      <c r="L50" s="11">
        <f t="shared" si="0"/>
        <v>0</v>
      </c>
    </row>
    <row r="51" spans="1:12" x14ac:dyDescent="0.3">
      <c r="A51" s="3">
        <v>47</v>
      </c>
      <c r="L51" s="11">
        <f t="shared" si="0"/>
        <v>0</v>
      </c>
    </row>
    <row r="52" spans="1:12" x14ac:dyDescent="0.3">
      <c r="A52" s="3">
        <v>48</v>
      </c>
      <c r="L52" s="11">
        <f t="shared" si="0"/>
        <v>0</v>
      </c>
    </row>
    <row r="53" spans="1:12" x14ac:dyDescent="0.3">
      <c r="A53" s="3">
        <v>49</v>
      </c>
      <c r="L53" s="11">
        <f t="shared" si="0"/>
        <v>0</v>
      </c>
    </row>
    <row r="54" spans="1:12" x14ac:dyDescent="0.3">
      <c r="A54" s="3">
        <v>50</v>
      </c>
      <c r="L54" s="11">
        <f t="shared" si="0"/>
        <v>0</v>
      </c>
    </row>
    <row r="55" spans="1:12" x14ac:dyDescent="0.3">
      <c r="A55" s="3">
        <v>51</v>
      </c>
      <c r="L55" s="11">
        <f t="shared" si="0"/>
        <v>0</v>
      </c>
    </row>
    <row r="56" spans="1:12" x14ac:dyDescent="0.3">
      <c r="A56" s="3">
        <v>52</v>
      </c>
      <c r="L56" s="11">
        <f t="shared" si="0"/>
        <v>0</v>
      </c>
    </row>
    <row r="57" spans="1:12" x14ac:dyDescent="0.3">
      <c r="A57" s="3">
        <v>53</v>
      </c>
      <c r="L57" s="11">
        <f t="shared" si="0"/>
        <v>0</v>
      </c>
    </row>
    <row r="58" spans="1:12" x14ac:dyDescent="0.3">
      <c r="A58" s="3">
        <v>54</v>
      </c>
      <c r="L58" s="11">
        <f t="shared" si="0"/>
        <v>0</v>
      </c>
    </row>
    <row r="59" spans="1:12" x14ac:dyDescent="0.3">
      <c r="A59" s="3">
        <v>55</v>
      </c>
      <c r="L59" s="11">
        <f t="shared" si="0"/>
        <v>0</v>
      </c>
    </row>
    <row r="60" spans="1:12" x14ac:dyDescent="0.3">
      <c r="A60" s="3">
        <v>56</v>
      </c>
      <c r="L60" s="11">
        <f t="shared" si="0"/>
        <v>0</v>
      </c>
    </row>
    <row r="61" spans="1:12" x14ac:dyDescent="0.3">
      <c r="A61" s="3">
        <v>57</v>
      </c>
      <c r="L61" s="11">
        <f t="shared" si="0"/>
        <v>0</v>
      </c>
    </row>
    <row r="62" spans="1:12" x14ac:dyDescent="0.3">
      <c r="A62" s="3">
        <v>58</v>
      </c>
      <c r="L62" s="11">
        <f t="shared" si="0"/>
        <v>0</v>
      </c>
    </row>
    <row r="63" spans="1:12" x14ac:dyDescent="0.3">
      <c r="A63" s="3">
        <v>59</v>
      </c>
      <c r="L63" s="11">
        <f t="shared" si="0"/>
        <v>0</v>
      </c>
    </row>
    <row r="64" spans="1:12" x14ac:dyDescent="0.3">
      <c r="A64" s="3">
        <v>60</v>
      </c>
      <c r="L64" s="11">
        <f t="shared" si="0"/>
        <v>0</v>
      </c>
    </row>
    <row r="65" spans="1:12" x14ac:dyDescent="0.3">
      <c r="A65" s="3">
        <v>61</v>
      </c>
      <c r="L65" s="11">
        <f t="shared" si="0"/>
        <v>0</v>
      </c>
    </row>
    <row r="66" spans="1:12" x14ac:dyDescent="0.3">
      <c r="A66" s="3">
        <v>62</v>
      </c>
      <c r="L66" s="11">
        <f t="shared" si="0"/>
        <v>0</v>
      </c>
    </row>
    <row r="67" spans="1:12" x14ac:dyDescent="0.3">
      <c r="A67" s="3">
        <v>63</v>
      </c>
      <c r="L67" s="11">
        <f t="shared" si="0"/>
        <v>0</v>
      </c>
    </row>
    <row r="68" spans="1:12" x14ac:dyDescent="0.3">
      <c r="A68" s="3">
        <v>64</v>
      </c>
      <c r="L68" s="11">
        <f t="shared" si="0"/>
        <v>0</v>
      </c>
    </row>
    <row r="69" spans="1:12" x14ac:dyDescent="0.3">
      <c r="A69" s="3">
        <v>65</v>
      </c>
      <c r="L69" s="11">
        <f t="shared" si="0"/>
        <v>0</v>
      </c>
    </row>
    <row r="70" spans="1:12" x14ac:dyDescent="0.3">
      <c r="A70" s="3">
        <v>66</v>
      </c>
      <c r="L70" s="11">
        <f t="shared" ref="L70:L104" si="1">J70+H70</f>
        <v>0</v>
      </c>
    </row>
    <row r="71" spans="1:12" x14ac:dyDescent="0.3">
      <c r="A71" s="3">
        <v>67</v>
      </c>
      <c r="L71" s="11">
        <f t="shared" si="1"/>
        <v>0</v>
      </c>
    </row>
    <row r="72" spans="1:12" x14ac:dyDescent="0.3">
      <c r="A72" s="3">
        <v>68</v>
      </c>
      <c r="L72" s="11">
        <f t="shared" si="1"/>
        <v>0</v>
      </c>
    </row>
    <row r="73" spans="1:12" x14ac:dyDescent="0.3">
      <c r="A73" s="3">
        <v>69</v>
      </c>
      <c r="L73" s="11">
        <f t="shared" si="1"/>
        <v>0</v>
      </c>
    </row>
    <row r="74" spans="1:12" x14ac:dyDescent="0.3">
      <c r="A74" s="3">
        <v>70</v>
      </c>
      <c r="L74" s="11">
        <f t="shared" si="1"/>
        <v>0</v>
      </c>
    </row>
    <row r="75" spans="1:12" x14ac:dyDescent="0.3">
      <c r="A75" s="3">
        <v>71</v>
      </c>
      <c r="L75" s="11">
        <f t="shared" si="1"/>
        <v>0</v>
      </c>
    </row>
    <row r="76" spans="1:12" x14ac:dyDescent="0.3">
      <c r="A76" s="3">
        <v>72</v>
      </c>
      <c r="L76" s="11">
        <f t="shared" si="1"/>
        <v>0</v>
      </c>
    </row>
    <row r="77" spans="1:12" x14ac:dyDescent="0.3">
      <c r="A77" s="3">
        <v>73</v>
      </c>
      <c r="L77" s="11">
        <f t="shared" si="1"/>
        <v>0</v>
      </c>
    </row>
    <row r="78" spans="1:12" x14ac:dyDescent="0.3">
      <c r="A78" s="3">
        <v>74</v>
      </c>
      <c r="L78" s="11">
        <f t="shared" si="1"/>
        <v>0</v>
      </c>
    </row>
    <row r="79" spans="1:12" x14ac:dyDescent="0.3">
      <c r="A79" s="3">
        <v>75</v>
      </c>
      <c r="L79" s="11">
        <f t="shared" si="1"/>
        <v>0</v>
      </c>
    </row>
    <row r="80" spans="1:12" x14ac:dyDescent="0.3">
      <c r="A80" s="3">
        <v>76</v>
      </c>
      <c r="L80" s="11">
        <f t="shared" si="1"/>
        <v>0</v>
      </c>
    </row>
    <row r="81" spans="1:12" x14ac:dyDescent="0.3">
      <c r="A81" s="3">
        <v>77</v>
      </c>
      <c r="L81" s="11">
        <f t="shared" si="1"/>
        <v>0</v>
      </c>
    </row>
    <row r="82" spans="1:12" x14ac:dyDescent="0.3">
      <c r="A82" s="3">
        <v>78</v>
      </c>
      <c r="L82" s="11">
        <f t="shared" si="1"/>
        <v>0</v>
      </c>
    </row>
    <row r="83" spans="1:12" x14ac:dyDescent="0.3">
      <c r="A83" s="3">
        <v>79</v>
      </c>
      <c r="L83" s="11">
        <f t="shared" si="1"/>
        <v>0</v>
      </c>
    </row>
    <row r="84" spans="1:12" x14ac:dyDescent="0.3">
      <c r="A84" s="3">
        <v>80</v>
      </c>
      <c r="L84" s="11">
        <f t="shared" si="1"/>
        <v>0</v>
      </c>
    </row>
    <row r="85" spans="1:12" x14ac:dyDescent="0.3">
      <c r="A85" s="3">
        <v>81</v>
      </c>
      <c r="L85" s="11">
        <f t="shared" si="1"/>
        <v>0</v>
      </c>
    </row>
    <row r="86" spans="1:12" x14ac:dyDescent="0.3">
      <c r="A86" s="3">
        <v>82</v>
      </c>
      <c r="L86" s="11">
        <f t="shared" si="1"/>
        <v>0</v>
      </c>
    </row>
    <row r="87" spans="1:12" x14ac:dyDescent="0.3">
      <c r="A87" s="3">
        <v>83</v>
      </c>
      <c r="L87" s="11">
        <f t="shared" si="1"/>
        <v>0</v>
      </c>
    </row>
    <row r="88" spans="1:12" x14ac:dyDescent="0.3">
      <c r="A88" s="3">
        <v>84</v>
      </c>
      <c r="L88" s="11">
        <f t="shared" si="1"/>
        <v>0</v>
      </c>
    </row>
    <row r="89" spans="1:12" x14ac:dyDescent="0.3">
      <c r="A89" s="3">
        <v>85</v>
      </c>
      <c r="L89" s="11">
        <f t="shared" si="1"/>
        <v>0</v>
      </c>
    </row>
    <row r="90" spans="1:12" x14ac:dyDescent="0.3">
      <c r="A90" s="3">
        <v>86</v>
      </c>
      <c r="L90" s="11">
        <f t="shared" si="1"/>
        <v>0</v>
      </c>
    </row>
    <row r="91" spans="1:12" x14ac:dyDescent="0.3">
      <c r="A91" s="3">
        <v>87</v>
      </c>
      <c r="L91" s="11">
        <f t="shared" si="1"/>
        <v>0</v>
      </c>
    </row>
    <row r="92" spans="1:12" x14ac:dyDescent="0.3">
      <c r="A92" s="3">
        <v>88</v>
      </c>
      <c r="L92" s="11">
        <f t="shared" si="1"/>
        <v>0</v>
      </c>
    </row>
    <row r="93" spans="1:12" x14ac:dyDescent="0.3">
      <c r="A93" s="3">
        <v>89</v>
      </c>
      <c r="L93" s="11">
        <f t="shared" si="1"/>
        <v>0</v>
      </c>
    </row>
    <row r="94" spans="1:12" x14ac:dyDescent="0.3">
      <c r="A94" s="3">
        <v>90</v>
      </c>
      <c r="L94" s="11">
        <f t="shared" si="1"/>
        <v>0</v>
      </c>
    </row>
    <row r="95" spans="1:12" x14ac:dyDescent="0.3">
      <c r="A95" s="3">
        <v>91</v>
      </c>
      <c r="L95" s="11">
        <f t="shared" si="1"/>
        <v>0</v>
      </c>
    </row>
    <row r="96" spans="1:12" x14ac:dyDescent="0.3">
      <c r="A96" s="3">
        <v>92</v>
      </c>
      <c r="L96" s="11">
        <f t="shared" si="1"/>
        <v>0</v>
      </c>
    </row>
    <row r="97" spans="1:12" x14ac:dyDescent="0.3">
      <c r="A97" s="3">
        <v>93</v>
      </c>
      <c r="L97" s="11">
        <f t="shared" si="1"/>
        <v>0</v>
      </c>
    </row>
    <row r="98" spans="1:12" x14ac:dyDescent="0.3">
      <c r="A98" s="3">
        <v>94</v>
      </c>
      <c r="L98" s="11">
        <f t="shared" si="1"/>
        <v>0</v>
      </c>
    </row>
    <row r="99" spans="1:12" x14ac:dyDescent="0.3">
      <c r="A99" s="3">
        <v>95</v>
      </c>
      <c r="L99" s="11">
        <f t="shared" si="1"/>
        <v>0</v>
      </c>
    </row>
    <row r="100" spans="1:12" x14ac:dyDescent="0.3">
      <c r="A100" s="3">
        <v>96</v>
      </c>
      <c r="L100" s="11">
        <f t="shared" si="1"/>
        <v>0</v>
      </c>
    </row>
    <row r="101" spans="1:12" x14ac:dyDescent="0.3">
      <c r="A101" s="3">
        <v>97</v>
      </c>
      <c r="L101" s="11">
        <f t="shared" si="1"/>
        <v>0</v>
      </c>
    </row>
    <row r="102" spans="1:12" x14ac:dyDescent="0.3">
      <c r="A102" s="3">
        <v>98</v>
      </c>
      <c r="L102" s="11">
        <f t="shared" si="1"/>
        <v>0</v>
      </c>
    </row>
    <row r="103" spans="1:12" x14ac:dyDescent="0.3">
      <c r="A103" s="3">
        <v>99</v>
      </c>
      <c r="L103" s="11">
        <f t="shared" si="1"/>
        <v>0</v>
      </c>
    </row>
    <row r="104" spans="1:12" x14ac:dyDescent="0.3">
      <c r="A104" s="3">
        <v>100</v>
      </c>
      <c r="L104" s="11">
        <f t="shared" si="1"/>
        <v>0</v>
      </c>
    </row>
  </sheetData>
  <mergeCells count="7">
    <mergeCell ref="A1:U1"/>
    <mergeCell ref="A2:B2"/>
    <mergeCell ref="A4:D4"/>
    <mergeCell ref="O2:R2"/>
    <mergeCell ref="S2:U2"/>
    <mergeCell ref="M2:N2"/>
    <mergeCell ref="E2:J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4E731E6-AAF1-4FE1-803F-693FA9036F3E}">
          <x14:formula1>
            <xm:f>Lookups!$A$1:$A$2</xm:f>
          </x14:formula1>
          <xm:sqref>E4:E1048576</xm:sqref>
        </x14:dataValidation>
        <x14:dataValidation type="list" allowBlank="1" showInputMessage="1" showErrorMessage="1" xr:uid="{3D9E5875-6E7C-415D-AD6E-CBC7DD03AD88}">
          <x14:formula1>
            <xm:f>Lookups!$A$5:$A$6</xm:f>
          </x14:formula1>
          <xm:sqref>C2</xm:sqref>
        </x14:dataValidation>
        <x14:dataValidation type="list" allowBlank="1" showInputMessage="1" showErrorMessage="1" xr:uid="{BCC3D973-D9B3-4A0F-855B-8E856DD3C85F}">
          <x14:formula1>
            <xm:f>Lookups!$A$8:$A$9</xm:f>
          </x14:formula1>
          <xm:sqref>S5:S1048576</xm:sqref>
        </x14:dataValidation>
        <x14:dataValidation type="list" allowBlank="1" showInputMessage="1" showErrorMessage="1" xr:uid="{CC056ACD-7370-47CA-A8FE-12B3ECE46909}">
          <x14:formula1>
            <xm:f>Lookups!$A$11:$A$14</xm:f>
          </x14:formula1>
          <xm:sqref>T5:U1048576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0515B-B193-4FA6-8FC2-B4CFF53530B9}">
  <dimension ref="A1:F36"/>
  <sheetViews>
    <sheetView topLeftCell="A7" zoomScale="80" zoomScaleNormal="80" workbookViewId="0">
      <selection activeCell="Q10" sqref="Q10"/>
    </sheetView>
  </sheetViews>
  <sheetFormatPr defaultRowHeight="14.4" x14ac:dyDescent="0.3"/>
  <cols>
    <col min="1" max="1" width="27.21875" bestFit="1" customWidth="1"/>
    <col min="2" max="2" width="41.21875" bestFit="1" customWidth="1"/>
  </cols>
  <sheetData>
    <row r="1" spans="1:5" ht="21" x14ac:dyDescent="0.4">
      <c r="A1" s="43" t="s">
        <v>55</v>
      </c>
      <c r="B1" s="43"/>
      <c r="C1" s="43"/>
    </row>
    <row r="3" spans="1:5" x14ac:dyDescent="0.3">
      <c r="A3" s="2" t="s">
        <v>20</v>
      </c>
      <c r="B3" s="3" t="s">
        <v>15</v>
      </c>
      <c r="C3" s="3">
        <f>SUMIF('Equipment List'!E:E,"Yes",'Equipment List'!G:G)</f>
        <v>0</v>
      </c>
      <c r="D3" t="s">
        <v>50</v>
      </c>
    </row>
    <row r="4" spans="1:5" x14ac:dyDescent="0.3">
      <c r="B4" s="7" t="s">
        <v>28</v>
      </c>
      <c r="C4" s="4">
        <v>6</v>
      </c>
      <c r="D4" t="s">
        <v>50</v>
      </c>
      <c r="E4" t="s">
        <v>31</v>
      </c>
    </row>
    <row r="5" spans="1:5" x14ac:dyDescent="0.3">
      <c r="B5" s="7" t="s">
        <v>29</v>
      </c>
      <c r="C5" s="4">
        <v>0</v>
      </c>
      <c r="D5" t="s">
        <v>50</v>
      </c>
      <c r="E5" t="s">
        <v>30</v>
      </c>
    </row>
    <row r="6" spans="1:5" x14ac:dyDescent="0.3">
      <c r="B6" s="3" t="s">
        <v>19</v>
      </c>
      <c r="C6" s="5">
        <f>SUM(C3:C5)</f>
        <v>6</v>
      </c>
      <c r="D6" t="s">
        <v>50</v>
      </c>
    </row>
    <row r="7" spans="1:5" x14ac:dyDescent="0.3">
      <c r="B7" s="3" t="s">
        <v>99</v>
      </c>
      <c r="C7" s="3">
        <f>MIN('Equipment List'!P:P)</f>
        <v>0</v>
      </c>
      <c r="D7" t="str">
        <f>'Equipment List'!O4</f>
        <v>Deg C</v>
      </c>
    </row>
    <row r="8" spans="1:5" x14ac:dyDescent="0.3">
      <c r="B8" s="3" t="s">
        <v>100</v>
      </c>
      <c r="C8" s="3">
        <f>MAX('Equipment List'!O:O)</f>
        <v>0</v>
      </c>
      <c r="D8" t="str">
        <f>D7</f>
        <v>Deg C</v>
      </c>
    </row>
    <row r="9" spans="1:5" x14ac:dyDescent="0.3">
      <c r="B9" s="3" t="s">
        <v>13</v>
      </c>
      <c r="C9" s="3">
        <f>MIN('Equipment List'!R:R)</f>
        <v>0</v>
      </c>
      <c r="D9" t="s">
        <v>48</v>
      </c>
    </row>
    <row r="10" spans="1:5" x14ac:dyDescent="0.3">
      <c r="B10" s="3" t="s">
        <v>14</v>
      </c>
      <c r="C10" s="3">
        <f>MAX('Equipment List'!Q:Q)</f>
        <v>0</v>
      </c>
      <c r="D10" t="s">
        <v>48</v>
      </c>
    </row>
    <row r="11" spans="1:5" x14ac:dyDescent="0.3">
      <c r="B11" s="3" t="s">
        <v>91</v>
      </c>
      <c r="C11" s="3">
        <f>MAX('Equipment List'!L:L)</f>
        <v>0</v>
      </c>
      <c r="D11" t="str">
        <f>'Equipment List'!F4</f>
        <v>mm</v>
      </c>
    </row>
    <row r="12" spans="1:5" x14ac:dyDescent="0.3">
      <c r="B12" s="3" t="s">
        <v>90</v>
      </c>
      <c r="C12" s="3">
        <f>MAX('Equipment List'!I:I)</f>
        <v>0</v>
      </c>
      <c r="D12" t="str">
        <f>D11</f>
        <v>mm</v>
      </c>
    </row>
    <row r="13" spans="1:5" x14ac:dyDescent="0.3">
      <c r="B13" s="3" t="s">
        <v>98</v>
      </c>
      <c r="C13" s="3">
        <f>SUM('Equipment List'!M:M)</f>
        <v>0</v>
      </c>
      <c r="D13" t="s">
        <v>41</v>
      </c>
    </row>
    <row r="14" spans="1:5" x14ac:dyDescent="0.3">
      <c r="B14" s="3" t="s">
        <v>16</v>
      </c>
      <c r="C14" s="4">
        <v>230</v>
      </c>
      <c r="D14" t="s">
        <v>51</v>
      </c>
      <c r="E14" t="s">
        <v>32</v>
      </c>
    </row>
    <row r="15" spans="1:5" x14ac:dyDescent="0.3">
      <c r="B15" s="3" t="s">
        <v>17</v>
      </c>
      <c r="C15" s="6">
        <f>C13/C14</f>
        <v>0</v>
      </c>
      <c r="D15" t="s">
        <v>52</v>
      </c>
      <c r="E15" t="s">
        <v>97</v>
      </c>
    </row>
    <row r="16" spans="1:5" x14ac:dyDescent="0.3">
      <c r="B16" s="3" t="s">
        <v>18</v>
      </c>
      <c r="C16" s="3">
        <f>SUM('Equipment List'!N:N)</f>
        <v>0</v>
      </c>
      <c r="D16" t="str">
        <f>'Equipment List'!N4</f>
        <v>Watts</v>
      </c>
    </row>
    <row r="17" spans="1:6" x14ac:dyDescent="0.3">
      <c r="B17" s="5" t="s">
        <v>96</v>
      </c>
      <c r="C17" s="3">
        <f>SUM('Equipment List'!K:K)</f>
        <v>0</v>
      </c>
      <c r="D17" t="str">
        <f>'Equipment List'!K4</f>
        <v>kg</v>
      </c>
      <c r="E17" t="s">
        <v>101</v>
      </c>
    </row>
    <row r="19" spans="1:6" x14ac:dyDescent="0.3">
      <c r="A19" s="2" t="s">
        <v>27</v>
      </c>
      <c r="B19" s="3" t="s">
        <v>22</v>
      </c>
      <c r="C19" s="4">
        <v>1200</v>
      </c>
      <c r="D19" t="str">
        <f>D11</f>
        <v>mm</v>
      </c>
      <c r="E19" t="s">
        <v>25</v>
      </c>
    </row>
    <row r="20" spans="1:6" x14ac:dyDescent="0.3">
      <c r="B20" s="3" t="s">
        <v>23</v>
      </c>
      <c r="C20" s="4">
        <v>150</v>
      </c>
      <c r="D20" t="str">
        <f>D19</f>
        <v>mm</v>
      </c>
      <c r="E20" t="s">
        <v>24</v>
      </c>
    </row>
    <row r="21" spans="1:6" x14ac:dyDescent="0.3">
      <c r="B21" s="3" t="s">
        <v>86</v>
      </c>
      <c r="C21" s="3">
        <f>ROUNDUP((C6*VLOOKUP('Equipment List'!C2,Lookups!A5:C6,3,FALSE))/C19,0)</f>
        <v>1</v>
      </c>
    </row>
    <row r="22" spans="1:6" x14ac:dyDescent="0.3">
      <c r="B22" s="3" t="s">
        <v>56</v>
      </c>
      <c r="C22" s="3">
        <f>IFERROR(C6/C21,"")</f>
        <v>6</v>
      </c>
      <c r="D22" t="s">
        <v>50</v>
      </c>
    </row>
    <row r="23" spans="1:6" x14ac:dyDescent="0.3">
      <c r="B23" s="3" t="s">
        <v>57</v>
      </c>
      <c r="C23" s="3">
        <f>IFERROR(C22*VLOOKUP('Equipment List'!C2,Lookups!A5:C6,3,FALSE)+C20,"")</f>
        <v>416.70000000000005</v>
      </c>
      <c r="D23" t="str">
        <f>D20</f>
        <v>mm</v>
      </c>
    </row>
    <row r="24" spans="1:6" x14ac:dyDescent="0.3">
      <c r="B24" s="3" t="s">
        <v>26</v>
      </c>
      <c r="C24" s="3">
        <f>IFERROR(IF(C23&lt;C19,C21,C21+1),"")</f>
        <v>1</v>
      </c>
    </row>
    <row r="25" spans="1:6" x14ac:dyDescent="0.3">
      <c r="B25" s="3" t="s">
        <v>58</v>
      </c>
      <c r="C25" s="3">
        <f>IFERROR(ROUNDUP(C6/C24,0),"")</f>
        <v>6</v>
      </c>
      <c r="D25" t="s">
        <v>50</v>
      </c>
    </row>
    <row r="27" spans="1:6" x14ac:dyDescent="0.3">
      <c r="A27" s="2" t="s">
        <v>70</v>
      </c>
      <c r="B27" s="3" t="s">
        <v>71</v>
      </c>
      <c r="C27" s="3">
        <f>COUNTIF('Equipment List'!S:S,"Passive")</f>
        <v>0</v>
      </c>
    </row>
    <row r="28" spans="1:6" x14ac:dyDescent="0.3">
      <c r="B28" s="3" t="s">
        <v>72</v>
      </c>
      <c r="C28" s="3">
        <f>COUNTIF('Equipment List'!S:S,"Active")</f>
        <v>0</v>
      </c>
    </row>
    <row r="29" spans="1:6" x14ac:dyDescent="0.3">
      <c r="B29" s="28" t="s">
        <v>73</v>
      </c>
      <c r="C29" s="28">
        <f>COUNTIF('Equipment List'!T:T,"Front")</f>
        <v>0</v>
      </c>
      <c r="D29" s="44" t="s">
        <v>85</v>
      </c>
      <c r="E29" s="45"/>
      <c r="F29" s="45"/>
    </row>
    <row r="30" spans="1:6" x14ac:dyDescent="0.3">
      <c r="B30" s="28" t="s">
        <v>74</v>
      </c>
      <c r="C30" s="28">
        <f>COUNTIF('Equipment List'!T:T,"Rear")</f>
        <v>0</v>
      </c>
      <c r="D30" s="44"/>
      <c r="E30" s="45"/>
      <c r="F30" s="45"/>
    </row>
    <row r="31" spans="1:6" x14ac:dyDescent="0.3">
      <c r="B31" s="28" t="s">
        <v>75</v>
      </c>
      <c r="C31" s="28">
        <f>COUNTIF('Equipment List'!T:T,"LH Side")</f>
        <v>0</v>
      </c>
      <c r="D31" s="44"/>
      <c r="E31" s="45"/>
      <c r="F31" s="45"/>
    </row>
    <row r="32" spans="1:6" x14ac:dyDescent="0.3">
      <c r="B32" s="28" t="s">
        <v>76</v>
      </c>
      <c r="C32" s="28">
        <f>COUNTIF('Equipment List'!T:T,"RH Side")</f>
        <v>0</v>
      </c>
      <c r="D32" s="44"/>
      <c r="E32" s="45"/>
      <c r="F32" s="45"/>
    </row>
    <row r="33" spans="2:6" x14ac:dyDescent="0.3">
      <c r="B33" s="29" t="s">
        <v>77</v>
      </c>
      <c r="C33" s="29">
        <f>COUNTIF('Equipment List'!U:U,"Front")</f>
        <v>0</v>
      </c>
      <c r="D33" s="46" t="s">
        <v>85</v>
      </c>
      <c r="E33" s="47"/>
      <c r="F33" s="47"/>
    </row>
    <row r="34" spans="2:6" x14ac:dyDescent="0.3">
      <c r="B34" s="29" t="s">
        <v>80</v>
      </c>
      <c r="C34" s="29">
        <f>COUNTIF('Equipment List'!U:U,"Rear")</f>
        <v>0</v>
      </c>
      <c r="D34" s="46"/>
      <c r="E34" s="47"/>
      <c r="F34" s="47"/>
    </row>
    <row r="35" spans="2:6" x14ac:dyDescent="0.3">
      <c r="B35" s="29" t="s">
        <v>78</v>
      </c>
      <c r="C35" s="29">
        <f>COUNTIF('Equipment List'!U:U,"LH Side")</f>
        <v>0</v>
      </c>
      <c r="D35" s="46"/>
      <c r="E35" s="47"/>
      <c r="F35" s="47"/>
    </row>
    <row r="36" spans="2:6" x14ac:dyDescent="0.3">
      <c r="B36" s="29" t="s">
        <v>79</v>
      </c>
      <c r="C36" s="29">
        <f>COUNTIF('Equipment List'!U:U,"RH Side")</f>
        <v>0</v>
      </c>
      <c r="D36" s="46"/>
      <c r="E36" s="47"/>
      <c r="F36" s="47"/>
    </row>
  </sheetData>
  <mergeCells count="3">
    <mergeCell ref="A1:C1"/>
    <mergeCell ref="D29:F32"/>
    <mergeCell ref="D33:F36"/>
  </mergeCells>
  <conditionalFormatting sqref="C29:C32">
    <cfRule type="top10" dxfId="1" priority="2" rank="1"/>
  </conditionalFormatting>
  <conditionalFormatting sqref="C33:C36">
    <cfRule type="top10" dxfId="0" priority="1" rank="1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2649E-74CD-4D75-B554-9CE795BCF1E1}">
  <dimension ref="A1:F14"/>
  <sheetViews>
    <sheetView tabSelected="1" workbookViewId="0">
      <selection activeCell="I24" sqref="I24"/>
    </sheetView>
  </sheetViews>
  <sheetFormatPr defaultRowHeight="14.4" x14ac:dyDescent="0.3"/>
  <cols>
    <col min="2" max="2" width="9.77734375" bestFit="1" customWidth="1"/>
  </cols>
  <sheetData>
    <row r="1" spans="1:6" x14ac:dyDescent="0.3">
      <c r="A1" t="s">
        <v>11</v>
      </c>
    </row>
    <row r="2" spans="1:6" x14ac:dyDescent="0.3">
      <c r="A2" t="s">
        <v>12</v>
      </c>
    </row>
    <row r="3" spans="1:6" x14ac:dyDescent="0.3">
      <c r="B3" s="3" t="s">
        <v>39</v>
      </c>
      <c r="C3" s="3"/>
      <c r="D3" s="3"/>
      <c r="E3" s="3"/>
      <c r="F3" s="3"/>
    </row>
    <row r="4" spans="1:6" x14ac:dyDescent="0.3">
      <c r="B4" s="3" t="s">
        <v>37</v>
      </c>
      <c r="C4" s="3" t="s">
        <v>38</v>
      </c>
      <c r="D4" s="3" t="s">
        <v>40</v>
      </c>
      <c r="E4" s="3" t="s">
        <v>45</v>
      </c>
      <c r="F4" s="5" t="s">
        <v>93</v>
      </c>
    </row>
    <row r="5" spans="1:6" x14ac:dyDescent="0.3">
      <c r="A5" s="3" t="s">
        <v>33</v>
      </c>
      <c r="B5" s="3" t="s">
        <v>35</v>
      </c>
      <c r="C5" s="3">
        <v>44.45</v>
      </c>
      <c r="D5" s="3" t="s">
        <v>41</v>
      </c>
      <c r="E5" s="3" t="s">
        <v>47</v>
      </c>
      <c r="F5" s="5" t="s">
        <v>95</v>
      </c>
    </row>
    <row r="6" spans="1:6" x14ac:dyDescent="0.3">
      <c r="A6" s="3" t="s">
        <v>34</v>
      </c>
      <c r="B6" s="3" t="s">
        <v>36</v>
      </c>
      <c r="C6" s="3">
        <v>1.75</v>
      </c>
      <c r="D6" s="3" t="s">
        <v>42</v>
      </c>
      <c r="E6" s="3" t="s">
        <v>46</v>
      </c>
      <c r="F6" s="5" t="s">
        <v>94</v>
      </c>
    </row>
    <row r="8" spans="1:6" x14ac:dyDescent="0.3">
      <c r="A8" t="s">
        <v>63</v>
      </c>
    </row>
    <row r="9" spans="1:6" x14ac:dyDescent="0.3">
      <c r="A9" t="s">
        <v>64</v>
      </c>
    </row>
    <row r="11" spans="1:6" x14ac:dyDescent="0.3">
      <c r="A11" t="s">
        <v>65</v>
      </c>
    </row>
    <row r="12" spans="1:6" x14ac:dyDescent="0.3">
      <c r="A12" t="s">
        <v>66</v>
      </c>
    </row>
    <row r="13" spans="1:6" x14ac:dyDescent="0.3">
      <c r="A13" t="s">
        <v>67</v>
      </c>
    </row>
    <row r="14" spans="1:6" x14ac:dyDescent="0.3">
      <c r="A14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fa720282-8571-4b6d-90f0-8988ce5dfb38" xsi:nil="true"/>
    <MigrationWizId xmlns="fa720282-8571-4b6d-90f0-8988ce5dfb38" xsi:nil="true"/>
    <MigrationWizIdSecurityGroups xmlns="fa720282-8571-4b6d-90f0-8988ce5dfb38" xsi:nil="true"/>
    <MigrationWizIdPermissions xmlns="fa720282-8571-4b6d-90f0-8988ce5dfb38" xsi:nil="true"/>
    <MigrationWizIdDocumentLibraryPermissions xmlns="fa720282-8571-4b6d-90f0-8988ce5dfb3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A9949827C744FB5F3516F52597C2B" ma:contentTypeVersion="16" ma:contentTypeDescription="Create a new document." ma:contentTypeScope="" ma:versionID="264935f99a4e2922676c078fb42b4cc9">
  <xsd:schema xmlns:xsd="http://www.w3.org/2001/XMLSchema" xmlns:xs="http://www.w3.org/2001/XMLSchema" xmlns:p="http://schemas.microsoft.com/office/2006/metadata/properties" xmlns:ns3="fa720282-8571-4b6d-90f0-8988ce5dfb38" xmlns:ns4="3bf791db-258a-482f-8bd0-24c3ca11d449" targetNamespace="http://schemas.microsoft.com/office/2006/metadata/properties" ma:root="true" ma:fieldsID="1c85d6832db18e230bd1b5792a867bab" ns3:_="" ns4:_="">
    <xsd:import namespace="fa720282-8571-4b6d-90f0-8988ce5dfb38"/>
    <xsd:import namespace="3bf791db-258a-482f-8bd0-24c3ca11d449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4:LastSharedByUser" minOccurs="0"/>
                <xsd:element ref="ns4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20282-8571-4b6d-90f0-8988ce5dfb38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791db-258a-482f-8bd0-24c3ca11d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6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7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205E82-D9E1-4250-8058-A1DA6D2D9908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a720282-8571-4b6d-90f0-8988ce5dfb38"/>
    <ds:schemaRef ds:uri="http://purl.org/dc/terms/"/>
    <ds:schemaRef ds:uri="3bf791db-258a-482f-8bd0-24c3ca11d449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33C53F4-6B3D-4905-AC26-47C7D50E49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759B30-9766-4A08-9C80-5ED8B6B6E7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720282-8571-4b6d-90f0-8988ce5dfb38"/>
    <ds:schemaRef ds:uri="3bf791db-258a-482f-8bd0-24c3ca11d4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Equipment List</vt:lpstr>
      <vt:lpstr>Design Information</vt:lpstr>
      <vt:lpstr>Lookups</vt:lpstr>
      <vt:lpstr>'Design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Brameld</dc:creator>
  <cp:lastModifiedBy>Loanna Overcash - AVIXA</cp:lastModifiedBy>
  <cp:lastPrinted>2020-04-08T13:46:43Z</cp:lastPrinted>
  <dcterms:created xsi:type="dcterms:W3CDTF">2019-02-03T10:26:15Z</dcterms:created>
  <dcterms:modified xsi:type="dcterms:W3CDTF">2020-04-14T17:17:50Z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0x010100400A9949827C744FB5F3516F52597C2B</vt:lpwstr>
  </property>
</Properties>
</file>